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【入力】物件情報" sheetId="1" state="visible" r:id="rId1"/>
    <sheet xmlns:r="http://schemas.openxmlformats.org/officeDocument/2006/relationships" name="【判定】6指標ダッシュボード" sheetId="2" state="visible" r:id="rId2"/>
    <sheet xmlns:r="http://schemas.openxmlformats.org/officeDocument/2006/relationships" name="【ストレス】空室率×金利テスト" sheetId="3" state="visible" r:id="rId3"/>
    <sheet xmlns:r="http://schemas.openxmlformats.org/officeDocument/2006/relationships" name="【出口】売却残債シミュレーション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19">
    <font>
      <name val="Calibri"/>
      <family val="2"/>
      <color theme="1"/>
      <sz val="11"/>
      <scheme val="minor"/>
    </font>
    <font>
      <name val="Arial"/>
      <b val="1"/>
      <color rgb="001F4E79"/>
      <sz val="16"/>
    </font>
    <font>
      <name val="Arial"/>
      <color rgb="00666666"/>
      <sz val="10"/>
    </font>
    <font>
      <name val="Arial"/>
      <b val="1"/>
      <color rgb="00FFFFFF"/>
      <sz val="11"/>
    </font>
    <font>
      <name val="Arial"/>
      <color rgb="00000000"/>
      <sz val="11"/>
    </font>
    <font>
      <name val="Arial"/>
      <color rgb="00666666"/>
      <sz val="9"/>
    </font>
    <font>
      <name val="Arial"/>
      <color rgb="00444444"/>
      <sz val="9"/>
    </font>
    <font>
      <name val="Arial"/>
      <b val="1"/>
      <color rgb="001F4E79"/>
      <sz val="18"/>
    </font>
    <font>
      <name val="Arial"/>
      <b val="1"/>
      <color rgb="001F4E79"/>
      <sz val="12"/>
    </font>
    <font>
      <name val="Arial"/>
      <color rgb="00999999"/>
      <sz val="9"/>
    </font>
    <font>
      <name val="Arial"/>
      <b val="1"/>
      <color rgb="001F4E79"/>
      <sz val="22"/>
    </font>
    <font>
      <name val="Arial"/>
      <color rgb="00444444"/>
      <sz val="10"/>
    </font>
    <font>
      <name val="Arial"/>
      <b val="1"/>
      <sz val="13"/>
    </font>
    <font>
      <name val="Arial"/>
      <b val="1"/>
      <color rgb="00FFFFFF"/>
      <sz val="12"/>
    </font>
    <font>
      <name val="Arial"/>
      <b val="1"/>
      <sz val="14"/>
    </font>
    <font>
      <name val="Arial"/>
      <b val="1"/>
      <color rgb="001F4E79"/>
      <sz val="14"/>
    </font>
    <font>
      <name val="Arial"/>
      <b val="1"/>
      <color rgb="00000000"/>
      <sz val="11"/>
    </font>
    <font>
      <name val="Arial"/>
      <b val="1"/>
      <color rgb="00FFFFFF"/>
    </font>
    <font>
      <name val="Arial"/>
      <b val="1"/>
      <sz val="11"/>
    </font>
  </fonts>
  <fills count="10">
    <fill>
      <patternFill/>
    </fill>
    <fill>
      <patternFill patternType="gray125"/>
    </fill>
    <fill>
      <patternFill patternType="solid">
        <fgColor rgb="00EBF3FB"/>
      </patternFill>
    </fill>
    <fill>
      <patternFill patternType="solid">
        <fgColor rgb="001F4E79"/>
      </patternFill>
    </fill>
    <fill>
      <patternFill patternType="solid">
        <fgColor rgb="00FFFF00"/>
      </patternFill>
    </fill>
    <fill>
      <patternFill patternType="solid">
        <fgColor rgb="00F2F2F2"/>
      </patternFill>
    </fill>
    <fill>
      <patternFill patternType="solid">
        <fgColor rgb="00D6E4F0"/>
      </patternFill>
    </fill>
    <fill>
      <patternFill patternType="solid">
        <fgColor rgb="00F0F0F0"/>
      </patternFill>
    </fill>
    <fill>
      <patternFill patternType="solid">
        <fgColor rgb="00FFF2CC"/>
      </patternFill>
    </fill>
    <fill>
      <patternFill patternType="solid">
        <fgColor rgb="002E75B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 vertical="center" wrapText="1"/>
    </xf>
    <xf numFmtId="0" fontId="3" fillId="3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4" fontId="4" fillId="4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left" vertical="center" wrapText="1"/>
    </xf>
    <xf numFmtId="0" fontId="5" fillId="0" borderId="0" pivotButton="0" quotePrefix="0" xfId="0"/>
    <xf numFmtId="0" fontId="4" fillId="4" borderId="0" applyAlignment="1" pivotButton="0" quotePrefix="0" xfId="0">
      <alignment horizontal="center" vertical="center" wrapText="1"/>
    </xf>
    <xf numFmtId="164" fontId="4" fillId="4" borderId="0" applyAlignment="1" pivotButton="0" quotePrefix="0" xfId="0">
      <alignment horizontal="center" vertical="center" wrapText="1"/>
    </xf>
    <xf numFmtId="4" fontId="4" fillId="5" borderId="0" applyAlignment="1" pivotButton="0" quotePrefix="0" xfId="0">
      <alignment horizontal="center" vertical="center" wrapText="1"/>
    </xf>
    <xf numFmtId="164" fontId="4" fillId="5" borderId="0" applyAlignment="1" pivotButton="0" quotePrefix="0" xfId="0">
      <alignment horizontal="center" vertical="center" wrapText="1"/>
    </xf>
    <xf numFmtId="0" fontId="6" fillId="0" borderId="0" pivotButton="0" quotePrefix="0" xfId="0"/>
    <xf numFmtId="0" fontId="7" fillId="2" borderId="0" applyAlignment="1" pivotButton="0" quotePrefix="0" xfId="0">
      <alignment horizontal="center" vertical="center"/>
    </xf>
    <xf numFmtId="0" fontId="9" fillId="0" borderId="0" pivotButton="0" quotePrefix="0" xfId="0"/>
    <xf numFmtId="0" fontId="8" fillId="0" borderId="0" applyAlignment="1" pivotButton="0" quotePrefix="0" xfId="0">
      <alignment horizontal="center"/>
    </xf>
    <xf numFmtId="0" fontId="8" fillId="6" borderId="0" applyAlignment="1" pivotButton="0" quotePrefix="0" xfId="0">
      <alignment horizontal="left" vertical="center" wrapText="1"/>
    </xf>
    <xf numFmtId="0" fontId="11" fillId="0" borderId="0" pivotButton="0" quotePrefix="0" xfId="0"/>
    <xf numFmtId="2" fontId="10" fillId="0" borderId="0" applyAlignment="1" pivotButton="0" quotePrefix="0" xfId="0">
      <alignment horizontal="center" vertical="center" wrapText="1"/>
    </xf>
    <xf numFmtId="0" fontId="12" fillId="7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center" vertical="center" wrapText="1"/>
    </xf>
    <xf numFmtId="10" fontId="10" fillId="0" borderId="0" applyAlignment="1" pivotButton="0" quotePrefix="0" xfId="0">
      <alignment horizontal="center" vertical="center" wrapText="1"/>
    </xf>
    <xf numFmtId="0" fontId="13" fillId="3" borderId="0" applyAlignment="1" pivotButton="0" quotePrefix="0" xfId="0">
      <alignment horizontal="left" vertical="center" wrapText="1"/>
    </xf>
    <xf numFmtId="0" fontId="14" fillId="8" borderId="0" applyAlignment="1" pivotButton="0" quotePrefix="0" xfId="0">
      <alignment horizontal="center" vertical="center"/>
    </xf>
    <xf numFmtId="0" fontId="15" fillId="2" borderId="0" applyAlignment="1" pivotButton="0" quotePrefix="0" xfId="0">
      <alignment horizontal="center" vertical="center"/>
    </xf>
    <xf numFmtId="0" fontId="3" fillId="3" borderId="0" pivotButton="0" quotePrefix="0" xfId="0"/>
    <xf numFmtId="0" fontId="17" fillId="9" borderId="0" applyAlignment="1" pivotButton="0" quotePrefix="0" xfId="0">
      <alignment horizontal="center" vertical="center" wrapText="1"/>
    </xf>
    <xf numFmtId="9" fontId="17" fillId="9" borderId="0" applyAlignment="1" pivotButton="0" quotePrefix="0" xfId="0">
      <alignment horizontal="center" vertical="center" wrapText="1"/>
    </xf>
    <xf numFmtId="0" fontId="16" fillId="5" borderId="0" pivotButton="0" quotePrefix="0" xfId="0"/>
    <xf numFmtId="2" fontId="4" fillId="5" borderId="0" applyAlignment="1" pivotButton="0" quotePrefix="0" xfId="0">
      <alignment horizontal="center" vertical="center" wrapText="1"/>
    </xf>
    <xf numFmtId="0" fontId="4" fillId="5" borderId="0" applyAlignment="1" pivotButton="0" quotePrefix="0" xfId="0">
      <alignment horizontal="center" vertical="center" wrapText="1"/>
    </xf>
    <xf numFmtId="10" fontId="4" fillId="5" borderId="0" applyAlignment="1" pivotButton="0" quotePrefix="0" xfId="0">
      <alignment horizontal="center" vertical="center" wrapText="1"/>
    </xf>
    <xf numFmtId="0" fontId="16" fillId="5" borderId="0" applyAlignment="1" pivotButton="0" quotePrefix="0" xfId="0">
      <alignment horizontal="center" vertical="center" wrapText="1"/>
    </xf>
    <xf numFmtId="0" fontId="3" fillId="9" borderId="0" applyAlignment="1" pivotButton="0" quotePrefix="0" xfId="0">
      <alignment horizontal="left" vertical="center" wrapText="1"/>
    </xf>
    <xf numFmtId="0" fontId="18" fillId="5" borderId="0" applyAlignment="1" pivotButton="0" quotePrefix="0" xfId="0">
      <alignment horizontal="left" vertical="center" wrapText="1"/>
    </xf>
    <xf numFmtId="164" fontId="0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C6EFCE"/>
        </patternFill>
      </fill>
    </dxf>
    <dxf>
      <fill>
        <patternFill patternType="solid">
          <fgColor rgb="00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0" customWidth="1" min="1" max="1"/>
    <col width="16" customWidth="1" min="2" max="2"/>
    <col width="8" customWidth="1" min="3" max="3"/>
    <col width="35" customWidth="1" min="4" max="4"/>
    <col width="5" customWidth="1" min="5" max="5"/>
  </cols>
  <sheetData>
    <row r="1" ht="30" customHeight="1">
      <c r="A1" s="1" t="inlineStr">
        <is>
          <t>タキ所長の不動産投資ラボ｜危険物件見極めシート 簡易版</t>
        </is>
      </c>
    </row>
    <row r="2">
      <c r="A2" s="2" t="inlineStr">
        <is>
          <t>※黄色のセルに数字を入力してください。グレーのセルは自動計算されます。</t>
        </is>
      </c>
    </row>
    <row r="3"/>
    <row r="4" ht="20" customHeight="1">
      <c r="A4" s="3" t="inlineStr">
        <is>
          <t>■ 物件基本情報</t>
        </is>
      </c>
    </row>
    <row r="5" ht="18" customHeight="1">
      <c r="A5" s="4" t="inlineStr">
        <is>
          <t>物件価格</t>
        </is>
      </c>
      <c r="B5" s="5" t="n"/>
      <c r="C5" s="6" t="inlineStr">
        <is>
          <t>万円</t>
        </is>
      </c>
    </row>
    <row r="6" ht="18" customHeight="1">
      <c r="A6" s="4" t="inlineStr">
        <is>
          <t>取得諸費用</t>
        </is>
      </c>
      <c r="B6" s="5">
        <f>B5*0.07</f>
        <v/>
      </c>
      <c r="C6" s="6" t="inlineStr">
        <is>
          <t>万円</t>
        </is>
      </c>
      <c r="D6" s="7" t="inlineStr">
        <is>
          <t>※目安：物件価格の6〜8%</t>
        </is>
      </c>
    </row>
    <row r="7" ht="18" customHeight="1">
      <c r="A7" s="4" t="inlineStr">
        <is>
          <t>構造</t>
        </is>
      </c>
      <c r="B7" s="8" t="inlineStr">
        <is>
          <t>木造</t>
        </is>
      </c>
      <c r="C7" s="6" t="inlineStr"/>
    </row>
    <row r="8" ht="18" customHeight="1">
      <c r="A8" s="4" t="inlineStr">
        <is>
          <t>築年数</t>
        </is>
      </c>
      <c r="B8" s="5" t="n"/>
      <c r="C8" s="6" t="inlineStr">
        <is>
          <t>年</t>
        </is>
      </c>
    </row>
    <row r="9" ht="18" customHeight="1">
      <c r="A9" s="4" t="inlineStr">
        <is>
          <t>総戸数</t>
        </is>
      </c>
      <c r="B9" s="5" t="n"/>
      <c r="C9" s="6" t="inlineStr">
        <is>
          <t>戸</t>
        </is>
      </c>
    </row>
    <row r="10" ht="18" customHeight="1"/>
    <row r="11" ht="18" customHeight="1">
      <c r="A11" s="3" t="inlineStr">
        <is>
          <t>■ 収支情報</t>
        </is>
      </c>
    </row>
    <row r="12" ht="18" customHeight="1">
      <c r="A12" s="4" t="inlineStr">
        <is>
          <t>満室想定月額賃料収入</t>
        </is>
      </c>
      <c r="B12" s="8" t="n"/>
      <c r="C12" s="6" t="inlineStr">
        <is>
          <t>万円</t>
        </is>
      </c>
    </row>
    <row r="13" ht="18" customHeight="1">
      <c r="A13" s="4" t="inlineStr">
        <is>
          <t>想定空室率</t>
        </is>
      </c>
      <c r="B13" s="9" t="n">
        <v>0.1</v>
      </c>
      <c r="D13" s="7" t="inlineStr">
        <is>
          <t>※デフォルト10%</t>
        </is>
      </c>
    </row>
    <row r="14" ht="18" customHeight="1">
      <c r="A14" s="4" t="inlineStr">
        <is>
          <t>賃料下落率/年</t>
        </is>
      </c>
      <c r="B14" s="9" t="n">
        <v>0.005</v>
      </c>
      <c r="D14" s="7" t="inlineStr">
        <is>
          <t>※将来賃料下落の目安（多年シミュレーションは詳細版で対応／本シートは初年度判定）</t>
        </is>
      </c>
    </row>
    <row r="15" ht="18" customHeight="1">
      <c r="A15" s="4" t="inlineStr">
        <is>
          <t>管理委託料率</t>
        </is>
      </c>
      <c r="B15" s="9" t="n">
        <v>0.05</v>
      </c>
    </row>
    <row r="16" ht="18" customHeight="1">
      <c r="A16" s="4" t="inlineStr">
        <is>
          <t>年間修繕費積立</t>
        </is>
      </c>
      <c r="B16" s="8" t="n"/>
      <c r="C16" s="6" t="inlineStr">
        <is>
          <t>万円</t>
        </is>
      </c>
      <c r="D16" s="7" t="inlineStr">
        <is>
          <t>※目安：家賃収入の10〜15%</t>
        </is>
      </c>
    </row>
    <row r="17" ht="18" customHeight="1">
      <c r="A17" s="4" t="inlineStr">
        <is>
          <t>火災保険料/年</t>
        </is>
      </c>
      <c r="B17" s="8" t="n"/>
      <c r="C17" s="6" t="inlineStr">
        <is>
          <t>万円</t>
        </is>
      </c>
    </row>
    <row r="18" ht="18" customHeight="1">
      <c r="A18" s="4" t="inlineStr">
        <is>
          <t>固定資産税・都市計画税/年</t>
        </is>
      </c>
      <c r="B18" s="8" t="n"/>
      <c r="C18" s="6" t="inlineStr">
        <is>
          <t>万円</t>
        </is>
      </c>
    </row>
    <row r="19" ht="18" customHeight="1">
      <c r="A19" s="4" t="inlineStr">
        <is>
          <t>その他経費/年</t>
        </is>
      </c>
      <c r="B19" s="8" t="n"/>
      <c r="C19" s="6" t="inlineStr">
        <is>
          <t>万円</t>
        </is>
      </c>
    </row>
    <row r="20" ht="18" customHeight="1"/>
    <row r="21" ht="18" customHeight="1">
      <c r="A21" s="3" t="inlineStr">
        <is>
          <t>■ 融資情報</t>
        </is>
      </c>
    </row>
    <row r="22" ht="18" customHeight="1">
      <c r="A22" s="4" t="inlineStr">
        <is>
          <t>借入金額</t>
        </is>
      </c>
      <c r="B22" s="8" t="n"/>
      <c r="C22" s="6" t="inlineStr">
        <is>
          <t>万円</t>
        </is>
      </c>
    </row>
    <row r="23" ht="18" customHeight="1">
      <c r="A23" s="4" t="inlineStr">
        <is>
          <t>借入金利</t>
        </is>
      </c>
      <c r="B23" s="9" t="n">
        <v>0.025</v>
      </c>
    </row>
    <row r="24" ht="18" customHeight="1">
      <c r="A24" s="4" t="inlineStr">
        <is>
          <t>借入期間</t>
        </is>
      </c>
      <c r="B24" s="8" t="n">
        <v>25</v>
      </c>
      <c r="C24" s="6" t="inlineStr">
        <is>
          <t>年</t>
        </is>
      </c>
    </row>
    <row r="25" ht="18" customHeight="1">
      <c r="A25" s="4" t="inlineStr">
        <is>
          <t>金利タイプ</t>
        </is>
      </c>
      <c r="B25" s="8" t="inlineStr">
        <is>
          <t>変動</t>
        </is>
      </c>
      <c r="C25" s="6" t="inlineStr"/>
    </row>
    <row r="26" ht="18" customHeight="1"/>
    <row r="27" ht="18" customHeight="1">
      <c r="A27" s="3" t="inlineStr">
        <is>
          <t>■ 自動計算サマリー（参照用）</t>
        </is>
      </c>
    </row>
    <row r="28" ht="18" customHeight="1">
      <c r="A28" s="4" t="inlineStr">
        <is>
          <t>総投資額</t>
        </is>
      </c>
      <c r="B28" s="10">
        <f>B5+B6</f>
        <v/>
      </c>
      <c r="C28" s="6" t="inlineStr">
        <is>
          <t>万円</t>
        </is>
      </c>
    </row>
    <row r="29" ht="18" customHeight="1">
      <c r="A29" s="4" t="inlineStr">
        <is>
          <t>自己資金</t>
        </is>
      </c>
      <c r="B29" s="10">
        <f>B28-B22</f>
        <v/>
      </c>
      <c r="C29" s="6" t="inlineStr">
        <is>
          <t>万円</t>
        </is>
      </c>
    </row>
    <row r="30" ht="18" customHeight="1">
      <c r="A30" s="4" t="inlineStr">
        <is>
          <t>自己資金比率</t>
        </is>
      </c>
      <c r="B30" s="11">
        <f>IF(B28=0,"",B29/B28)</f>
        <v/>
      </c>
      <c r="C30" s="6" t="inlineStr"/>
    </row>
    <row r="31" ht="18" customHeight="1">
      <c r="A31" s="4" t="inlineStr">
        <is>
          <t>年間満室賃料収入（GPR）</t>
        </is>
      </c>
      <c r="B31" s="10">
        <f>B12*12</f>
        <v/>
      </c>
      <c r="C31" s="6" t="inlineStr">
        <is>
          <t>万円</t>
        </is>
      </c>
      <c r="D31" s="12" t="inlineStr">
        <is>
          <t>GPR</t>
        </is>
      </c>
    </row>
    <row r="32" ht="18" customHeight="1">
      <c r="A32" s="4" t="inlineStr">
        <is>
          <t>年間実効収入（EGI）</t>
        </is>
      </c>
      <c r="B32" s="10">
        <f>IF(B31=0,"",B31*(1-B13))</f>
        <v/>
      </c>
      <c r="C32" s="6" t="inlineStr">
        <is>
          <t>万円</t>
        </is>
      </c>
      <c r="D32" s="12" t="inlineStr">
        <is>
          <t>EGI = GPR×(1-空室率)</t>
        </is>
      </c>
    </row>
    <row r="33" ht="18" customHeight="1">
      <c r="A33" s="4" t="inlineStr">
        <is>
          <t>管理委託料/年</t>
        </is>
      </c>
      <c r="B33" s="10">
        <f>IF(B32="","",B32*B15)</f>
        <v/>
      </c>
      <c r="C33" s="6" t="inlineStr">
        <is>
          <t>万円</t>
        </is>
      </c>
    </row>
    <row r="34" ht="18" customHeight="1">
      <c r="A34" s="4" t="inlineStr">
        <is>
          <t>年間運営費合計（OpEx）</t>
        </is>
      </c>
      <c r="B34" s="10">
        <f>IF(B33="","",B33+B16+B17+B18+B19)</f>
        <v/>
      </c>
      <c r="C34" s="6" t="inlineStr">
        <is>
          <t>万円</t>
        </is>
      </c>
      <c r="D34" s="12" t="inlineStr">
        <is>
          <t>OpEx</t>
        </is>
      </c>
    </row>
    <row r="35" ht="18" customHeight="1">
      <c r="A35" s="4" t="inlineStr">
        <is>
          <t>NOI（年間純収益）</t>
        </is>
      </c>
      <c r="B35" s="10">
        <f>IF(OR(B32="",B34=""),"",B32-B34)</f>
        <v/>
      </c>
      <c r="C35" s="6" t="inlineStr">
        <is>
          <t>万円</t>
        </is>
      </c>
      <c r="D35" s="12" t="inlineStr">
        <is>
          <t>NOI = EGI - OpEx</t>
        </is>
      </c>
    </row>
    <row r="36" ht="18" customHeight="1">
      <c r="A36" s="4" t="inlineStr">
        <is>
          <t>月々返済額</t>
        </is>
      </c>
      <c r="B36" s="10">
        <f>IF(OR(B22=0,B23=0,B24=0),"",ROUND(-PMT(B23/12,B24*12,B22),2))</f>
        <v/>
      </c>
      <c r="C36" s="6" t="inlineStr">
        <is>
          <t>万円/月</t>
        </is>
      </c>
    </row>
    <row r="37" ht="18" customHeight="1">
      <c r="A37" s="4" t="inlineStr">
        <is>
          <t>年間元利返済額（ADS）</t>
        </is>
      </c>
      <c r="B37" s="10">
        <f>IF(B36="","",B36*12)</f>
        <v/>
      </c>
      <c r="C37" s="6" t="inlineStr">
        <is>
          <t>万円</t>
        </is>
      </c>
      <c r="D37" s="12" t="inlineStr">
        <is>
          <t>ADS = 月返済額×12</t>
        </is>
      </c>
    </row>
    <row r="38" ht="18" customHeight="1">
      <c r="A38" s="4" t="inlineStr">
        <is>
          <t>月次CF</t>
        </is>
      </c>
      <c r="B38" s="10">
        <f>IF(OR(B35="",B37=""),"",ROUND((B35-B37)/12,2))</f>
        <v/>
      </c>
      <c r="C38" s="6" t="inlineStr">
        <is>
          <t>万円/月</t>
        </is>
      </c>
    </row>
    <row r="39" ht="18" customHeight="1"/>
  </sheetData>
  <mergeCells count="6">
    <mergeCell ref="A21:E21"/>
    <mergeCell ref="A4:E4"/>
    <mergeCell ref="A2:E2"/>
    <mergeCell ref="A11:E11"/>
    <mergeCell ref="A1:E1"/>
    <mergeCell ref="A27:E2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46"/>
  <sheetViews>
    <sheetView workbookViewId="0">
      <selection activeCell="A1" sqref="A1"/>
    </sheetView>
  </sheetViews>
  <sheetFormatPr baseColWidth="8" defaultRowHeight="15"/>
  <cols>
    <col width="28" customWidth="1" min="1" max="1"/>
    <col width="20" customWidth="1" min="2" max="2"/>
    <col width="12" customWidth="1" min="3" max="3"/>
    <col width="35" customWidth="1" min="4" max="4"/>
    <col width="5" customWidth="1" min="5" max="5"/>
    <col width="5" customWidth="1" min="6" max="6"/>
    <col width="20" customWidth="1" min="10" max="10"/>
    <col width="20" customWidth="1" min="11" max="11"/>
  </cols>
  <sheetData>
    <row r="1" ht="36" customHeight="1">
      <c r="A1" s="13" t="inlineStr">
        <is>
          <t>物件判定ダッシュボード</t>
        </is>
      </c>
      <c r="I1" s="14" t="inlineStr">
        <is>
          <t>NOI</t>
        </is>
      </c>
      <c r="J1">
        <f>'【入力】物件情報'!B35</f>
        <v/>
      </c>
      <c r="K1">
        <f>IF(OR(J2="",J2=0),"",J1/J2)</f>
        <v/>
      </c>
      <c r="L1" s="14" t="inlineStr">
        <is>
          <t>DSCR</t>
        </is>
      </c>
    </row>
    <row r="2">
      <c r="A2" s="2" t="inlineStr">
        <is>
          <t>※【入力】シートで数値を入力すると、以下の指標が自動更新されます。</t>
        </is>
      </c>
      <c r="I2" s="14" t="inlineStr">
        <is>
          <t>ADS</t>
        </is>
      </c>
      <c r="J2">
        <f>'【入力】物件情報'!B37</f>
        <v/>
      </c>
      <c r="K2">
        <f>IF(OR(J7=0,J6=""),"",J6/J7)</f>
        <v/>
      </c>
      <c r="L2" s="14" t="inlineStr">
        <is>
          <t>LTV</t>
        </is>
      </c>
    </row>
    <row r="3">
      <c r="A3" s="15" t="inlineStr">
        <is>
          <t>━━━ 6つの投資指標 ━━━</t>
        </is>
      </c>
      <c r="I3" s="14" t="inlineStr">
        <is>
          <t>GPR</t>
        </is>
      </c>
      <c r="J3">
        <f>'【入力】物件情報'!B31</f>
        <v/>
      </c>
      <c r="K3">
        <f>IF(OR(J3=0,J2="",J4=""),"",( J4+J2)/J3)</f>
        <v/>
      </c>
      <c r="L3" s="14" t="inlineStr">
        <is>
          <t>BER</t>
        </is>
      </c>
    </row>
    <row r="4">
      <c r="I4" s="14" t="inlineStr">
        <is>
          <t>OpEx</t>
        </is>
      </c>
      <c r="J4">
        <f>'【入力】物件情報'!B34</f>
        <v/>
      </c>
      <c r="K4">
        <f>IF(OR(J5=0,J1=""),"",J1/J5)</f>
        <v/>
      </c>
      <c r="L4" s="14" t="inlineStr">
        <is>
          <t>FCR</t>
        </is>
      </c>
    </row>
    <row r="5" ht="20" customHeight="1">
      <c r="A5" s="16" t="inlineStr">
        <is>
          <t>① DSCR（返済余裕率）</t>
        </is>
      </c>
      <c r="I5" s="14" t="inlineStr">
        <is>
          <t>総投資額</t>
        </is>
      </c>
      <c r="J5">
        <f>'【入力】物件情報'!B28</f>
        <v/>
      </c>
      <c r="K5">
        <f>IF(OR(J6=0,J2=""),"",J2/J6)</f>
        <v/>
      </c>
      <c r="L5" s="14" t="inlineStr">
        <is>
          <t>K%</t>
        </is>
      </c>
    </row>
    <row r="6" ht="32" customHeight="1">
      <c r="A6" s="17" t="inlineStr">
        <is>
          <t>算出値:</t>
        </is>
      </c>
      <c r="B6" s="18">
        <f>K1</f>
        <v/>
      </c>
      <c r="I6" s="14" t="inlineStr">
        <is>
          <t>借入金額</t>
        </is>
      </c>
      <c r="J6">
        <f>'【入力】物件情報'!B22</f>
        <v/>
      </c>
      <c r="K6">
        <f>IF(OR(K4="",J8=0),"",K4-J8)</f>
        <v/>
      </c>
      <c r="L6" s="14" t="inlineStr">
        <is>
          <t>YieldGap</t>
        </is>
      </c>
    </row>
    <row r="7" ht="24" customHeight="1">
      <c r="B7" s="19">
        <f>IF(K1="","未入力（数値を入力してください）",IF(K1&gt;=1.5,"🟢 安全（優良）",IF(K1&gt;=1.2,"🟡 注意（標準的な安全圏）","🔴 危険（要撤退検討）")))</f>
        <v/>
      </c>
      <c r="I7" s="14" t="inlineStr">
        <is>
          <t>物件価格</t>
        </is>
      </c>
      <c r="J7">
        <f>'【入力】物件情報'!B5</f>
        <v/>
      </c>
    </row>
    <row r="8" ht="16" customHeight="1">
      <c r="A8" s="20" t="inlineStr">
        <is>
          <t>計算式: NOI ÷ 年間返済額（ADS）</t>
        </is>
      </c>
      <c r="I8" s="14" t="inlineStr">
        <is>
          <t>借入金利</t>
        </is>
      </c>
      <c r="J8">
        <f>'【入力】物件情報'!B23</f>
        <v/>
      </c>
    </row>
    <row r="9" ht="16" customHeight="1">
      <c r="A9" s="21" t="inlineStr">
        <is>
          <t>安全基準: 1.5以上🟢  |  1.2〜1.5🟡  |  1.2未満🔴</t>
        </is>
      </c>
    </row>
    <row r="10" ht="6" customHeight="1"/>
    <row r="11" ht="20" customHeight="1">
      <c r="A11" s="16" t="inlineStr">
        <is>
          <t>② LTV（融資比率）</t>
        </is>
      </c>
    </row>
    <row r="12" ht="32" customHeight="1">
      <c r="A12" s="17" t="inlineStr">
        <is>
          <t>算出値:</t>
        </is>
      </c>
      <c r="B12" s="22">
        <f>K2</f>
        <v/>
      </c>
    </row>
    <row r="13" ht="24" customHeight="1">
      <c r="B13" s="19">
        <f>IF(K2="","未入力（数値を入力してください）",IF(K2&lt;=0.7,"🟢 安全（70%以下）",IF(K2&lt;=0.85,"🟡 注意（70〜85%）","🔴 危険（85%超）")))</f>
        <v/>
      </c>
    </row>
    <row r="14" ht="16" customHeight="1">
      <c r="A14" s="20" t="inlineStr">
        <is>
          <t>計算式: 借入金額 ÷ 物件価格</t>
        </is>
      </c>
    </row>
    <row r="15" ht="16" customHeight="1">
      <c r="A15" s="21" t="inlineStr">
        <is>
          <t>安全基準: 70%以下🟢  |  70〜85%🟡  |  85%超🔴</t>
        </is>
      </c>
    </row>
    <row r="16" ht="6" customHeight="1"/>
    <row r="17" ht="20" customHeight="1">
      <c r="A17" s="16" t="inlineStr">
        <is>
          <t>③ BER（損益分岐空室率）</t>
        </is>
      </c>
    </row>
    <row r="18" ht="32" customHeight="1">
      <c r="A18" s="17" t="inlineStr">
        <is>
          <t>算出値:</t>
        </is>
      </c>
      <c r="B18" s="22">
        <f>K3</f>
        <v/>
      </c>
    </row>
    <row r="19" ht="24" customHeight="1">
      <c r="B19" s="19">
        <f>IF(K3="","未入力（数値を入力してください）",IF(K3&lt;0.75,"🟢 安全（75%未満）",IF(K3&lt;=0.85,"🟡 注意（75〜85%）","🔴 危険（85%超）")))</f>
        <v/>
      </c>
    </row>
    <row r="20" ht="16" customHeight="1">
      <c r="A20" s="20" t="inlineStr">
        <is>
          <t>計算式:（経費 + 年間返済額）÷ 満室収入（GPR）</t>
        </is>
      </c>
    </row>
    <row r="21" ht="16" customHeight="1">
      <c r="A21" s="21" t="inlineStr">
        <is>
          <t>安全基準: 75%未満🟢  |  75〜85%🟡  |  85%超🔴</t>
        </is>
      </c>
    </row>
    <row r="22" ht="6" customHeight="1"/>
    <row r="23" ht="20" customHeight="1">
      <c r="A23" s="16" t="inlineStr">
        <is>
          <t>④ FCR（総収益率）</t>
        </is>
      </c>
    </row>
    <row r="24" ht="32" customHeight="1">
      <c r="A24" s="17" t="inlineStr">
        <is>
          <t>算出値:</t>
        </is>
      </c>
      <c r="B24" s="23">
        <f>K4</f>
        <v/>
      </c>
    </row>
    <row r="25" ht="24" customHeight="1">
      <c r="B25" s="19">
        <f>IF(K4="","未入力（数値を入力してください）",IF(K4&gt;=0.06,"🟢 安全（6%以上）",IF(K4&gt;=0.04,"🟡 注意（4〜6%）","🔴 危険（4%未満）")))</f>
        <v/>
      </c>
    </row>
    <row r="26" ht="16" customHeight="1">
      <c r="A26" s="20" t="inlineStr">
        <is>
          <t>計算式: NOI ÷ 総投資額</t>
        </is>
      </c>
    </row>
    <row r="27" ht="16" customHeight="1">
      <c r="A27" s="21" t="inlineStr">
        <is>
          <t>安全基準: 6%以上🟢  |  4〜6%🟡  |  4%未満🔴</t>
        </is>
      </c>
    </row>
    <row r="28" ht="6" customHeight="1"/>
    <row r="29" ht="20" customHeight="1">
      <c r="A29" s="16" t="inlineStr">
        <is>
          <t>⑤ K%（ローン定数）</t>
        </is>
      </c>
    </row>
    <row r="30" ht="32" customHeight="1">
      <c r="A30" s="17" t="inlineStr">
        <is>
          <t>算出値:</t>
        </is>
      </c>
      <c r="B30" s="23">
        <f>K5</f>
        <v/>
      </c>
    </row>
    <row r="31" ht="24" customHeight="1">
      <c r="B31" s="19">
        <f>IF(K5="","未入力（数値を入力してください）",IF(K5&lt;=0.06,"🟢 安全（6%以下）",IF(K5&lt;=0.08,"🟡 注意（6〜8%）","🔴 危険（8%超）")))</f>
        <v/>
      </c>
    </row>
    <row r="32" ht="16" customHeight="1">
      <c r="A32" s="20" t="inlineStr">
        <is>
          <t>計算式: 年間返済額（ADS）÷ 借入金額</t>
        </is>
      </c>
    </row>
    <row r="33" ht="16" customHeight="1">
      <c r="A33" s="21" t="inlineStr">
        <is>
          <t>安全基準: 6%以下🟢  |  6〜8%🟡  |  8%超🔴</t>
        </is>
      </c>
    </row>
    <row r="34" ht="6" customHeight="1"/>
    <row r="35" ht="20" customHeight="1">
      <c r="A35" s="16" t="inlineStr">
        <is>
          <t>⑥ イールドギャップ</t>
        </is>
      </c>
    </row>
    <row r="36" ht="32" customHeight="1">
      <c r="A36" s="17" t="inlineStr">
        <is>
          <t>算出値:</t>
        </is>
      </c>
      <c r="B36" s="23">
        <f>K6</f>
        <v/>
      </c>
    </row>
    <row r="37" ht="24" customHeight="1">
      <c r="B37" s="19">
        <f>IF(K6="","未入力（数値を入力してください）",IF(K6&gt;=0.02,"🟢 安全（2%以上）",IF(K6&gt;=0.01,"🟡 注意（1〜2%）","🔴 危険（1%未満）")))</f>
        <v/>
      </c>
    </row>
    <row r="38" ht="16" customHeight="1">
      <c r="A38" s="20" t="inlineStr">
        <is>
          <t>計算式: FCR − 借入金利</t>
        </is>
      </c>
    </row>
    <row r="39" ht="16" customHeight="1">
      <c r="A39" s="21" t="inlineStr">
        <is>
          <t>安全基準: 2%以上🟢  |  1〜2%🟡  |  1%未満🔴</t>
        </is>
      </c>
    </row>
    <row r="40" ht="6" customHeight="1"/>
    <row r="41" ht="22" customHeight="1">
      <c r="A41" s="24" t="inlineStr">
        <is>
          <t>■ 総合判定</t>
        </is>
      </c>
    </row>
    <row r="42" ht="28" customHeight="1">
      <c r="A42" s="25">
        <f>IF(OR(K1="",K2="",K3="",K4="",K5="",K6=""),"⚠️ 未入力項目があります。入力シートを確認してください。",IF(AND(K1&gt;=1.5,K2&lt;=0.7,K3&lt;=0.7,K4&gt;=0.06,K5&lt;=0.06,K6&gt;=0.02),"🟢 優良物件（全指標クリア）",IF(AND(K1&gt;=1.2,K2&lt;=0.85,K3&lt;=0.85,K4&gt;=0.04,K5&lt;=0.08,K6&gt;=0.01),"🟡 標準的（概ね安全圏）","🔴 要注意（危険指標あり。慎重に検討してください）")))</f>
        <v/>
      </c>
    </row>
    <row r="43">
      <c r="A43" t="inlineStr">
        <is>
          <t>■ 参考：利回り比較</t>
        </is>
      </c>
    </row>
    <row r="44">
      <c r="A44" t="inlineStr">
        <is>
          <t>表面利回り（満室・物件価格ベース）</t>
        </is>
      </c>
      <c r="B44" s="37">
        <f>IF('【入力】物件情報'!B5=0,"",'【入力】物件情報'!B31/'【入力】物件情報'!B5)</f>
        <v/>
      </c>
    </row>
    <row r="45">
      <c r="A45" t="inlineStr">
        <is>
          <t>実質利回り（FCR・総投資額ベース）</t>
        </is>
      </c>
      <c r="B45" s="37">
        <f>K4</f>
        <v/>
      </c>
    </row>
    <row r="46">
      <c r="A46" t="inlineStr">
        <is>
          <t>※業者提示の「利回り」は表面。FCRで1〜2%下がるのが普通。</t>
        </is>
      </c>
    </row>
  </sheetData>
  <mergeCells count="35">
    <mergeCell ref="A32:G32"/>
    <mergeCell ref="A14:G14"/>
    <mergeCell ref="A17:G17"/>
    <mergeCell ref="A8:G8"/>
    <mergeCell ref="A35:G35"/>
    <mergeCell ref="A20:G20"/>
    <mergeCell ref="A38:G38"/>
    <mergeCell ref="A29:G29"/>
    <mergeCell ref="B13:G13"/>
    <mergeCell ref="A42:G42"/>
    <mergeCell ref="B18:C18"/>
    <mergeCell ref="B12:C12"/>
    <mergeCell ref="B19:G19"/>
    <mergeCell ref="A9:G9"/>
    <mergeCell ref="B37:G37"/>
    <mergeCell ref="A39:G39"/>
    <mergeCell ref="A15:G15"/>
    <mergeCell ref="A11:G11"/>
    <mergeCell ref="A1:G1"/>
    <mergeCell ref="A41:G41"/>
    <mergeCell ref="B7:G7"/>
    <mergeCell ref="B25:G25"/>
    <mergeCell ref="B6:C6"/>
    <mergeCell ref="B24:C24"/>
    <mergeCell ref="B30:C30"/>
    <mergeCell ref="A27:G27"/>
    <mergeCell ref="A3:G3"/>
    <mergeCell ref="A21:G21"/>
    <mergeCell ref="B31:G31"/>
    <mergeCell ref="A26:G26"/>
    <mergeCell ref="B36:C36"/>
    <mergeCell ref="A2:G2"/>
    <mergeCell ref="A33:G33"/>
    <mergeCell ref="A5:G5"/>
    <mergeCell ref="A23:G2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36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 ht="28" customHeight="1">
      <c r="A1" s="26" t="inlineStr">
        <is>
          <t>ストレステスト｜空室率・金利上昇シミュレーション</t>
        </is>
      </c>
    </row>
    <row r="2" ht="16" customHeight="1">
      <c r="A2" s="7" t="inlineStr">
        <is>
          <t>※ベース値は【入力】シートの数値を参照。管理費＝EGI×管理委託料率として計算。</t>
        </is>
      </c>
    </row>
    <row r="3"/>
    <row r="4" ht="20" customHeight="1">
      <c r="A4" s="27" t="inlineStr">
        <is>
          <t>■ Table 1: 空室率ストレステスト</t>
        </is>
      </c>
    </row>
    <row r="5">
      <c r="B5" s="28" t="inlineStr">
        <is>
          <t>項目</t>
        </is>
      </c>
      <c r="C5" s="29" t="n">
        <v>0.05</v>
      </c>
      <c r="D5" s="29" t="n">
        <v>0.1</v>
      </c>
      <c r="E5" s="29" t="n">
        <v>0.15</v>
      </c>
      <c r="F5" s="29" t="n">
        <v>0.2</v>
      </c>
    </row>
    <row r="6" ht="18" customHeight="1">
      <c r="B6" s="30" t="inlineStr">
        <is>
          <t>年間実効収入（EGI）万円</t>
        </is>
      </c>
      <c r="C6" s="10">
        <f>IF('【入力】物件情報'!B31=0,"",'【入力】物件情報'!B31*(1-0.05))</f>
        <v/>
      </c>
      <c r="D6" s="10">
        <f>IF('【入力】物件情報'!B31=0,"",'【入力】物件情報'!B31*(1-0.1))</f>
        <v/>
      </c>
      <c r="E6" s="10">
        <f>IF('【入力】物件情報'!B31=0,"",'【入力】物件情報'!B31*(1-0.15))</f>
        <v/>
      </c>
      <c r="F6" s="10">
        <f>IF('【入力】物件情報'!B31=0,"",'【入力】物件情報'!B31*(1-0.2))</f>
        <v/>
      </c>
    </row>
    <row r="7" ht="18" customHeight="1">
      <c r="B7" s="30" t="inlineStr">
        <is>
          <t>NOI（万円）</t>
        </is>
      </c>
      <c r="C7" s="10">
        <f>IF(C6="","",C6-((C6*'【入力】物件情報'!B15)+('【入力】物件情報'!B16+'【入力】物件情報'!B17+'【入力】物件情報'!B18+'【入力】物件情報'!B19)))</f>
        <v/>
      </c>
      <c r="D7" s="10">
        <f>IF(D6="","",D6-((D6*'【入力】物件情報'!B15)+('【入力】物件情報'!B16+'【入力】物件情報'!B17+'【入力】物件情報'!B18+'【入力】物件情報'!B19)))</f>
        <v/>
      </c>
      <c r="E7" s="10">
        <f>IF(E6="","",E6-((E6*'【入力】物件情報'!B15)+('【入力】物件情報'!B16+'【入力】物件情報'!B17+'【入力】物件情報'!B18+'【入力】物件情報'!B19)))</f>
        <v/>
      </c>
      <c r="F7" s="10">
        <f>IF(F6="","",F6-((F6*'【入力】物件情報'!B15)+('【入力】物件情報'!B16+'【入力】物件情報'!B17+'【入力】物件情報'!B18+'【入力】物件情報'!B19)))</f>
        <v/>
      </c>
    </row>
    <row r="8" ht="18" customHeight="1">
      <c r="B8" s="30" t="inlineStr">
        <is>
          <t>DSCR</t>
        </is>
      </c>
      <c r="C8" s="31">
        <f>IF(OR(C7="",'【入力】物件情報'!B37="",'【入力】物件情報'!B37=0),"",C7/'【入力】物件情報'!B37)</f>
        <v/>
      </c>
      <c r="D8" s="31">
        <f>IF(OR(D7="",'【入力】物件情報'!B37="",'【入力】物件情報'!B37=0),"",D7/'【入力】物件情報'!B37)</f>
        <v/>
      </c>
      <c r="E8" s="31">
        <f>IF(OR(E7="",'【入力】物件情報'!B37="",'【入力】物件情報'!B37=0),"",E7/'【入力】物件情報'!B37)</f>
        <v/>
      </c>
      <c r="F8" s="31">
        <f>IF(OR(F7="",'【入力】物件情報'!B37="",'【入力】物件情報'!B37=0),"",F7/'【入力】物件情報'!B37)</f>
        <v/>
      </c>
    </row>
    <row r="9" ht="18" customHeight="1">
      <c r="B9" s="30" t="inlineStr">
        <is>
          <t>月次CF（万円/月）</t>
        </is>
      </c>
      <c r="C9" s="10">
        <f>IF(OR(C7="",'【入力】物件情報'!B37=""),"",ROUND((C7-'【入力】物件情報'!B37)/12,2))</f>
        <v/>
      </c>
      <c r="D9" s="10">
        <f>IF(OR(D7="",'【入力】物件情報'!B37=""),"",ROUND((D7-'【入力】物件情報'!B37)/12,2))</f>
        <v/>
      </c>
      <c r="E9" s="10">
        <f>IF(OR(E7="",'【入力】物件情報'!B37=""),"",ROUND((E7-'【入力】物件情報'!B37)/12,2))</f>
        <v/>
      </c>
      <c r="F9" s="10">
        <f>IF(OR(F7="",'【入力】物件情報'!B37=""),"",ROUND((F7-'【入力】物件情報'!B37)/12,2))</f>
        <v/>
      </c>
    </row>
    <row r="10" ht="18" customHeight="1">
      <c r="B10" s="30" t="inlineStr">
        <is>
          <t>判定</t>
        </is>
      </c>
      <c r="C10" s="32">
        <f>IF(OR(C9="",C8=""),"未入力",IF(AND(C9&gt;=0,C8&gt;=1.5),"🟢 安全",IF(AND(C9&gt;=0,C8&gt;=1.2),"🟡 注意","🔴 危険")))</f>
        <v/>
      </c>
      <c r="D10" s="32">
        <f>IF(OR(D9="",D8=""),"未入力",IF(AND(D9&gt;=0,D8&gt;=1.5),"🟢 安全",IF(AND(D9&gt;=0,D8&gt;=1.2),"🟡 注意","🔴 危険")))</f>
        <v/>
      </c>
      <c r="E10" s="32">
        <f>IF(OR(E9="",E8=""),"未入力",IF(AND(E9&gt;=0,E8&gt;=1.5),"🟢 安全",IF(AND(E9&gt;=0,E8&gt;=1.2),"🟡 注意","🔴 危険")))</f>
        <v/>
      </c>
      <c r="F10" s="32">
        <f>IF(OR(F9="",F8=""),"未入力",IF(AND(F9&gt;=0,F8&gt;=1.5),"🟢 安全",IF(AND(F9&gt;=0,F8&gt;=1.2),"🟡 注意","🔴 危険")))</f>
        <v/>
      </c>
    </row>
    <row r="11"/>
    <row r="12"/>
    <row r="13"/>
    <row r="14"/>
    <row r="15"/>
    <row r="16"/>
    <row r="17"/>
    <row r="18" ht="20" customHeight="1">
      <c r="A18" s="27" t="inlineStr">
        <is>
          <t>■ Table 2: 金利上昇シミュレーション</t>
        </is>
      </c>
    </row>
    <row r="19">
      <c r="B19" s="28" t="inlineStr">
        <is>
          <t>項目</t>
        </is>
      </c>
      <c r="C19" s="28" t="inlineStr">
        <is>
          <t>+0.5%</t>
        </is>
      </c>
      <c r="D19" s="28" t="inlineStr">
        <is>
          <t>+1.0%</t>
        </is>
      </c>
      <c r="E19" s="28" t="inlineStr">
        <is>
          <t>+1.5%</t>
        </is>
      </c>
      <c r="F19" s="28" t="inlineStr">
        <is>
          <t>+2.0%</t>
        </is>
      </c>
    </row>
    <row r="20" ht="18" customHeight="1">
      <c r="B20" s="30" t="inlineStr">
        <is>
          <t>適用金利</t>
        </is>
      </c>
      <c r="C20" s="33">
        <f>IF('【入力】物件情報'!B23=0,"",'【入力】物件情報'!B23+0.005)</f>
        <v/>
      </c>
      <c r="D20" s="33">
        <f>IF('【入力】物件情報'!B23=0,"",'【入力】物件情報'!B23+0.01)</f>
        <v/>
      </c>
      <c r="E20" s="33">
        <f>IF('【入力】物件情報'!B23=0,"",'【入力】物件情報'!B23+0.015)</f>
        <v/>
      </c>
      <c r="F20" s="33">
        <f>IF('【入力】物件情報'!B23=0,"",'【入力】物件情報'!B23+0.02)</f>
        <v/>
      </c>
    </row>
    <row r="21" ht="18" customHeight="1">
      <c r="B21" s="30" t="inlineStr">
        <is>
          <t>月々返済額（万円）</t>
        </is>
      </c>
      <c r="C21" s="10">
        <f>IF(OR(C20="",'【入力】物件情報'!B22=0,'【入力】物件情報'!B24=0),"",ROUND(-PMT(C20/12,'【入力】物件情報'!B24*12,'【入力】物件情報'!B22),2))</f>
        <v/>
      </c>
      <c r="D21" s="10">
        <f>IF(OR(D20="",'【入力】物件情報'!B22=0,'【入力】物件情報'!B24=0),"",ROUND(-PMT(D20/12,'【入力】物件情報'!B24*12,'【入力】物件情報'!B22),2))</f>
        <v/>
      </c>
      <c r="E21" s="10">
        <f>IF(OR(E20="",'【入力】物件情報'!B22=0,'【入力】物件情報'!B24=0),"",ROUND(-PMT(E20/12,'【入力】物件情報'!B24*12,'【入力】物件情報'!B22),2))</f>
        <v/>
      </c>
      <c r="F21" s="10">
        <f>IF(OR(F20="",'【入力】物件情報'!B22=0,'【入力】物件情報'!B24=0),"",ROUND(-PMT(F20/12,'【入力】物件情報'!B24*12,'【入力】物件情報'!B22),2))</f>
        <v/>
      </c>
    </row>
    <row r="22" ht="18" customHeight="1">
      <c r="B22" s="30" t="inlineStr">
        <is>
          <t>年間返済額ADS（万円）</t>
        </is>
      </c>
      <c r="C22" s="10">
        <f>IF(C21="","",C21*12)</f>
        <v/>
      </c>
      <c r="D22" s="10">
        <f>IF(D21="","",D21*12)</f>
        <v/>
      </c>
      <c r="E22" s="10">
        <f>IF(E21="","",E21*12)</f>
        <v/>
      </c>
      <c r="F22" s="10">
        <f>IF(F21="","",F21*12)</f>
        <v/>
      </c>
    </row>
    <row r="23" ht="18" customHeight="1">
      <c r="B23" s="30" t="inlineStr">
        <is>
          <t>DSCR</t>
        </is>
      </c>
      <c r="C23" s="31">
        <f>IF(OR(C22="",C22=0,'【入力】物件情報'!B35=""),"",'【入力】物件情報'!B35/C22)</f>
        <v/>
      </c>
      <c r="D23" s="31">
        <f>IF(OR(D22="",D22=0,'【入力】物件情報'!B35=""),"",'【入力】物件情報'!B35/D22)</f>
        <v/>
      </c>
      <c r="E23" s="31">
        <f>IF(OR(E22="",E22=0,'【入力】物件情報'!B35=""),"",'【入力】物件情報'!B35/E22)</f>
        <v/>
      </c>
      <c r="F23" s="31">
        <f>IF(OR(F22="",F22=0,'【入力】物件情報'!B35=""),"",'【入力】物件情報'!B35/F22)</f>
        <v/>
      </c>
    </row>
    <row r="24" ht="18" customHeight="1">
      <c r="B24" s="30" t="inlineStr">
        <is>
          <t>月次CF（万円/月）</t>
        </is>
      </c>
      <c r="C24" s="10">
        <f>IF(OR(C22="",'【入力】物件情報'!B35=""),"",ROUND(('【入力】物件情報'!B35-C22)/12,2))</f>
        <v/>
      </c>
      <c r="D24" s="10">
        <f>IF(OR(D22="",'【入力】物件情報'!B35=""),"",ROUND(('【入力】物件情報'!B35-D22)/12,2))</f>
        <v/>
      </c>
      <c r="E24" s="10">
        <f>IF(OR(E22="",'【入力】物件情報'!B35=""),"",ROUND(('【入力】物件情報'!B35-E22)/12,2))</f>
        <v/>
      </c>
      <c r="F24" s="10">
        <f>IF(OR(F22="",'【入力】物件情報'!B35=""),"",ROUND(('【入力】物件情報'!B35-F22)/12,2))</f>
        <v/>
      </c>
    </row>
    <row r="25" ht="18" customHeight="1">
      <c r="B25" s="30" t="inlineStr">
        <is>
          <t>判定</t>
        </is>
      </c>
      <c r="C25" s="32">
        <f>IF(OR(C24="",C23=""),"未入力",IF(AND(C24&gt;=0,C23&gt;=1.5),"🟢 安全",IF(AND(C24&gt;=0,C23&gt;=1.2),"🟡 注意","🔴 危険")))</f>
        <v/>
      </c>
      <c r="D25" s="32">
        <f>IF(OR(D24="",D23=""),"未入力",IF(AND(D24&gt;=0,D23&gt;=1.5),"🟢 安全",IF(AND(D24&gt;=0,D23&gt;=1.2),"🟡 注意","🔴 危険")))</f>
        <v/>
      </c>
      <c r="E25" s="32">
        <f>IF(OR(E24="",E23=""),"未入力",IF(AND(E24&gt;=0,E23&gt;=1.5),"🟢 安全",IF(AND(E24&gt;=0,E23&gt;=1.2),"🟡 注意","🔴 危険")))</f>
        <v/>
      </c>
      <c r="F25" s="32">
        <f>IF(OR(F24="",F23=""),"未入力",IF(AND(F24&gt;=0,F23&gt;=1.5),"🟢 安全",IF(AND(F24&gt;=0,F23&gt;=1.2),"🟡 注意","🔴 危険")))</f>
        <v/>
      </c>
    </row>
    <row r="26"/>
    <row r="27"/>
    <row r="28"/>
    <row r="29"/>
    <row r="30" ht="20" customHeight="1">
      <c r="A30" s="27" t="inlineStr">
        <is>
          <t>■ Table 3: 複合ストレス 月次CF（万円/月）マトリクス（空室率×金利）</t>
        </is>
      </c>
    </row>
    <row r="31">
      <c r="A31" s="7" t="inlineStr">
        <is>
          <t>※ 数値がプラスで緑、マイナスで赤表示。</t>
        </is>
      </c>
    </row>
    <row r="32">
      <c r="A32" s="34" t="inlineStr">
        <is>
          <t>空室率 \ 金利上昇</t>
        </is>
      </c>
      <c r="B32" s="28" t="inlineStr">
        <is>
          <t>現状</t>
        </is>
      </c>
      <c r="C32" s="28" t="inlineStr">
        <is>
          <t>+0.5%</t>
        </is>
      </c>
      <c r="D32" s="28" t="inlineStr">
        <is>
          <t>+1.0%</t>
        </is>
      </c>
      <c r="E32" s="28" t="inlineStr">
        <is>
          <t>+1.5%</t>
        </is>
      </c>
      <c r="F32" s="28" t="inlineStr">
        <is>
          <t>+2.0%</t>
        </is>
      </c>
    </row>
    <row r="33" ht="18" customHeight="1">
      <c r="A33" s="34" t="inlineStr">
        <is>
          <t>空室率5%</t>
        </is>
      </c>
      <c r="B33" s="10">
        <f>IF(OR('【入力】物件情報'!B31=0,'【入力】物件情報'!B22=0,'【入力】物件情報'!B23=0,'【入力】物件情報'!B24=0),"",ROUND((('【入力】物件情報'!B31*(1-0.05))-(('【入力】物件情報'!B31*(1-0.05)*'【入力】物件情報'!B15)+('【入力】物件情報'!B16+'【入力】物件情報'!B17+'【入力】物件情報'!B18+'【入力】物件情報'!B19))-(-PMT(('【入力】物件情報'!B23/12),'【入力】物件情報'!B24*12,'【入力】物件情報'!B22)*12))/12,2))</f>
        <v/>
      </c>
      <c r="C33" s="10">
        <f>IF(OR('【入力】物件情報'!B31=0,'【入力】物件情報'!B22=0,'【入力】物件情報'!B23=0,'【入力】物件情報'!B24=0),"",ROUND((('【入力】物件情報'!B31*(1-0.05))-(('【入力】物件情報'!B31*(1-0.05)*'【入力】物件情報'!B15)+('【入力】物件情報'!B16+'【入力】物件情報'!B17+'【入力】物件情報'!B18+'【入力】物件情報'!B19))-(-PMT((('【入力】物件情報'!B23+0.005)/12),'【入力】物件情報'!B24*12,'【入力】物件情報'!B22)*12))/12,2))</f>
        <v/>
      </c>
      <c r="D33" s="10">
        <f>IF(OR('【入力】物件情報'!B31=0,'【入力】物件情報'!B22=0,'【入力】物件情報'!B23=0,'【入力】物件情報'!B24=0),"",ROUND((('【入力】物件情報'!B31*(1-0.05))-(('【入力】物件情報'!B31*(1-0.05)*'【入力】物件情報'!B15)+('【入力】物件情報'!B16+'【入力】物件情報'!B17+'【入力】物件情報'!B18+'【入力】物件情報'!B19))-(-PMT((('【入力】物件情報'!B23+0.01)/12),'【入力】物件情報'!B24*12,'【入力】物件情報'!B22)*12))/12,2))</f>
        <v/>
      </c>
      <c r="E33" s="10">
        <f>IF(OR('【入力】物件情報'!B31=0,'【入力】物件情報'!B22=0,'【入力】物件情報'!B23=0,'【入力】物件情報'!B24=0),"",ROUND((('【入力】物件情報'!B31*(1-0.05))-(('【入力】物件情報'!B31*(1-0.05)*'【入力】物件情報'!B15)+('【入力】物件情報'!B16+'【入力】物件情報'!B17+'【入力】物件情報'!B18+'【入力】物件情報'!B19))-(-PMT((('【入力】物件情報'!B23+0.015)/12),'【入力】物件情報'!B24*12,'【入力】物件情報'!B22)*12))/12,2))</f>
        <v/>
      </c>
      <c r="F33" s="10">
        <f>IF(OR('【入力】物件情報'!B31=0,'【入力】物件情報'!B22=0,'【入力】物件情報'!B23=0,'【入力】物件情報'!B24=0),"",ROUND((('【入力】物件情報'!B31*(1-0.05))-(('【入力】物件情報'!B31*(1-0.05)*'【入力】物件情報'!B15)+('【入力】物件情報'!B16+'【入力】物件情報'!B17+'【入力】物件情報'!B18+'【入力】物件情報'!B19))-(-PMT((('【入力】物件情報'!B23+0.02)/12),'【入力】物件情報'!B24*12,'【入力】物件情報'!B22)*12))/12,2))</f>
        <v/>
      </c>
    </row>
    <row r="34" ht="18" customHeight="1">
      <c r="A34" s="34" t="inlineStr">
        <is>
          <t>空室率10%</t>
        </is>
      </c>
      <c r="B34" s="10">
        <f>IF(OR('【入力】物件情報'!B31=0,'【入力】物件情報'!B22=0,'【入力】物件情報'!B23=0,'【入力】物件情報'!B24=0),"",ROUND((('【入力】物件情報'!B31*(1-0.1))-(('【入力】物件情報'!B31*(1-0.1)*'【入力】物件情報'!B15)+('【入力】物件情報'!B16+'【入力】物件情報'!B17+'【入力】物件情報'!B18+'【入力】物件情報'!B19))-(-PMT(('【入力】物件情報'!B23/12),'【入力】物件情報'!B24*12,'【入力】物件情報'!B22)*12))/12,2))</f>
        <v/>
      </c>
      <c r="C34" s="10">
        <f>IF(OR('【入力】物件情報'!B31=0,'【入力】物件情報'!B22=0,'【入力】物件情報'!B23=0,'【入力】物件情報'!B24=0),"",ROUND((('【入力】物件情報'!B31*(1-0.1))-(('【入力】物件情報'!B31*(1-0.1)*'【入力】物件情報'!B15)+('【入力】物件情報'!B16+'【入力】物件情報'!B17+'【入力】物件情報'!B18+'【入力】物件情報'!B19))-(-PMT((('【入力】物件情報'!B23+0.005)/12),'【入力】物件情報'!B24*12,'【入力】物件情報'!B22)*12))/12,2))</f>
        <v/>
      </c>
      <c r="D34" s="10">
        <f>IF(OR('【入力】物件情報'!B31=0,'【入力】物件情報'!B22=0,'【入力】物件情報'!B23=0,'【入力】物件情報'!B24=0),"",ROUND((('【入力】物件情報'!B31*(1-0.1))-(('【入力】物件情報'!B31*(1-0.1)*'【入力】物件情報'!B15)+('【入力】物件情報'!B16+'【入力】物件情報'!B17+'【入力】物件情報'!B18+'【入力】物件情報'!B19))-(-PMT((('【入力】物件情報'!B23+0.01)/12),'【入力】物件情報'!B24*12,'【入力】物件情報'!B22)*12))/12,2))</f>
        <v/>
      </c>
      <c r="E34" s="10">
        <f>IF(OR('【入力】物件情報'!B31=0,'【入力】物件情報'!B22=0,'【入力】物件情報'!B23=0,'【入力】物件情報'!B24=0),"",ROUND((('【入力】物件情報'!B31*(1-0.1))-(('【入力】物件情報'!B31*(1-0.1)*'【入力】物件情報'!B15)+('【入力】物件情報'!B16+'【入力】物件情報'!B17+'【入力】物件情報'!B18+'【入力】物件情報'!B19))-(-PMT((('【入力】物件情報'!B23+0.015)/12),'【入力】物件情報'!B24*12,'【入力】物件情報'!B22)*12))/12,2))</f>
        <v/>
      </c>
      <c r="F34" s="10">
        <f>IF(OR('【入力】物件情報'!B31=0,'【入力】物件情報'!B22=0,'【入力】物件情報'!B23=0,'【入力】物件情報'!B24=0),"",ROUND((('【入力】物件情報'!B31*(1-0.1))-(('【入力】物件情報'!B31*(1-0.1)*'【入力】物件情報'!B15)+('【入力】物件情報'!B16+'【入力】物件情報'!B17+'【入力】物件情報'!B18+'【入力】物件情報'!B19))-(-PMT((('【入力】物件情報'!B23+0.02)/12),'【入力】物件情報'!B24*12,'【入力】物件情報'!B22)*12))/12,2))</f>
        <v/>
      </c>
    </row>
    <row r="35" ht="18" customHeight="1">
      <c r="A35" s="34" t="inlineStr">
        <is>
          <t>空室率15%</t>
        </is>
      </c>
      <c r="B35" s="10">
        <f>IF(OR('【入力】物件情報'!B31=0,'【入力】物件情報'!B22=0,'【入力】物件情報'!B23=0,'【入力】物件情報'!B24=0),"",ROUND((('【入力】物件情報'!B31*(1-0.15))-(('【入力】物件情報'!B31*(1-0.15)*'【入力】物件情報'!B15)+('【入力】物件情報'!B16+'【入力】物件情報'!B17+'【入力】物件情報'!B18+'【入力】物件情報'!B19))-(-PMT(('【入力】物件情報'!B23/12),'【入力】物件情報'!B24*12,'【入力】物件情報'!B22)*12))/12,2))</f>
        <v/>
      </c>
      <c r="C35" s="10">
        <f>IF(OR('【入力】物件情報'!B31=0,'【入力】物件情報'!B22=0,'【入力】物件情報'!B23=0,'【入力】物件情報'!B24=0),"",ROUND((('【入力】物件情報'!B31*(1-0.15))-(('【入力】物件情報'!B31*(1-0.15)*'【入力】物件情報'!B15)+('【入力】物件情報'!B16+'【入力】物件情報'!B17+'【入力】物件情報'!B18+'【入力】物件情報'!B19))-(-PMT((('【入力】物件情報'!B23+0.005)/12),'【入力】物件情報'!B24*12,'【入力】物件情報'!B22)*12))/12,2))</f>
        <v/>
      </c>
      <c r="D35" s="10">
        <f>IF(OR('【入力】物件情報'!B31=0,'【入力】物件情報'!B22=0,'【入力】物件情報'!B23=0,'【入力】物件情報'!B24=0),"",ROUND((('【入力】物件情報'!B31*(1-0.15))-(('【入力】物件情報'!B31*(1-0.15)*'【入力】物件情報'!B15)+('【入力】物件情報'!B16+'【入力】物件情報'!B17+'【入力】物件情報'!B18+'【入力】物件情報'!B19))-(-PMT((('【入力】物件情報'!B23+0.01)/12),'【入力】物件情報'!B24*12,'【入力】物件情報'!B22)*12))/12,2))</f>
        <v/>
      </c>
      <c r="E35" s="10">
        <f>IF(OR('【入力】物件情報'!B31=0,'【入力】物件情報'!B22=0,'【入力】物件情報'!B23=0,'【入力】物件情報'!B24=0),"",ROUND((('【入力】物件情報'!B31*(1-0.15))-(('【入力】物件情報'!B31*(1-0.15)*'【入力】物件情報'!B15)+('【入力】物件情報'!B16+'【入力】物件情報'!B17+'【入力】物件情報'!B18+'【入力】物件情報'!B19))-(-PMT((('【入力】物件情報'!B23+0.015)/12),'【入力】物件情報'!B24*12,'【入力】物件情報'!B22)*12))/12,2))</f>
        <v/>
      </c>
      <c r="F35" s="10">
        <f>IF(OR('【入力】物件情報'!B31=0,'【入力】物件情報'!B22=0,'【入力】物件情報'!B23=0,'【入力】物件情報'!B24=0),"",ROUND((('【入力】物件情報'!B31*(1-0.15))-(('【入力】物件情報'!B31*(1-0.15)*'【入力】物件情報'!B15)+('【入力】物件情報'!B16+'【入力】物件情報'!B17+'【入力】物件情報'!B18+'【入力】物件情報'!B19))-(-PMT((('【入力】物件情報'!B23+0.02)/12),'【入力】物件情報'!B24*12,'【入力】物件情報'!B22)*12))/12,2))</f>
        <v/>
      </c>
    </row>
    <row r="36" ht="18" customHeight="1">
      <c r="A36" s="34" t="inlineStr">
        <is>
          <t>空室率20%</t>
        </is>
      </c>
      <c r="B36" s="10">
        <f>IF(OR('【入力】物件情報'!B31=0,'【入力】物件情報'!B22=0,'【入力】物件情報'!B23=0,'【入力】物件情報'!B24=0),"",ROUND((('【入力】物件情報'!B31*(1-0.2))-(('【入力】物件情報'!B31*(1-0.2)*'【入力】物件情報'!B15)+('【入力】物件情報'!B16+'【入力】物件情報'!B17+'【入力】物件情報'!B18+'【入力】物件情報'!B19))-(-PMT(('【入力】物件情報'!B23/12),'【入力】物件情報'!B24*12,'【入力】物件情報'!B22)*12))/12,2))</f>
        <v/>
      </c>
      <c r="C36" s="10">
        <f>IF(OR('【入力】物件情報'!B31=0,'【入力】物件情報'!B22=0,'【入力】物件情報'!B23=0,'【入力】物件情報'!B24=0),"",ROUND((('【入力】物件情報'!B31*(1-0.2))-(('【入力】物件情報'!B31*(1-0.2)*'【入力】物件情報'!B15)+('【入力】物件情報'!B16+'【入力】物件情報'!B17+'【入力】物件情報'!B18+'【入力】物件情報'!B19))-(-PMT((('【入力】物件情報'!B23+0.005)/12),'【入力】物件情報'!B24*12,'【入力】物件情報'!B22)*12))/12,2))</f>
        <v/>
      </c>
      <c r="D36" s="10">
        <f>IF(OR('【入力】物件情報'!B31=0,'【入力】物件情報'!B22=0,'【入力】物件情報'!B23=0,'【入力】物件情報'!B24=0),"",ROUND((('【入力】物件情報'!B31*(1-0.2))-(('【入力】物件情報'!B31*(1-0.2)*'【入力】物件情報'!B15)+('【入力】物件情報'!B16+'【入力】物件情報'!B17+'【入力】物件情報'!B18+'【入力】物件情報'!B19))-(-PMT((('【入力】物件情報'!B23+0.01)/12),'【入力】物件情報'!B24*12,'【入力】物件情報'!B22)*12))/12,2))</f>
        <v/>
      </c>
      <c r="E36" s="10">
        <f>IF(OR('【入力】物件情報'!B31=0,'【入力】物件情報'!B22=0,'【入力】物件情報'!B23=0,'【入力】物件情報'!B24=0),"",ROUND((('【入力】物件情報'!B31*(1-0.2))-(('【入力】物件情報'!B31*(1-0.2)*'【入力】物件情報'!B15)+('【入力】物件情報'!B16+'【入力】物件情報'!B17+'【入力】物件情報'!B18+'【入力】物件情報'!B19))-(-PMT((('【入力】物件情報'!B23+0.015)/12),'【入力】物件情報'!B24*12,'【入力】物件情報'!B22)*12))/12,2))</f>
        <v/>
      </c>
      <c r="F36" s="10">
        <f>IF(OR('【入力】物件情報'!B31=0,'【入力】物件情報'!B22=0,'【入力】物件情報'!B23=0,'【入力】物件情報'!B24=0),"",ROUND((('【入力】物件情報'!B31*(1-0.2))-(('【入力】物件情報'!B31*(1-0.2)*'【入力】物件情報'!B15)+('【入力】物件情報'!B16+'【入力】物件情報'!B17+'【入力】物件情報'!B18+'【入力】物件情報'!B19))-(-PMT((('【入力】物件情報'!B23+0.02)/12),'【入力】物件情報'!B24*12,'【入力】物件情報'!B22)*12))/12,2))</f>
        <v/>
      </c>
    </row>
  </sheetData>
  <mergeCells count="6">
    <mergeCell ref="A2:F2"/>
    <mergeCell ref="A1:F1"/>
    <mergeCell ref="A31:F31"/>
    <mergeCell ref="A18:F18"/>
    <mergeCell ref="A4:F4"/>
    <mergeCell ref="A30:F30"/>
  </mergeCells>
  <conditionalFormatting sqref="B33:F36">
    <cfRule type="cellIs" priority="1" operator="greaterThanOrEqual" dxfId="0">
      <formula>0</formula>
    </cfRule>
    <cfRule type="cellIs" priority="2" operator="lessThan" dxfId="1">
      <formula>0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29"/>
  <sheetViews>
    <sheetView workbookViewId="0">
      <selection activeCell="A1" sqref="A1"/>
    </sheetView>
  </sheetViews>
  <sheetFormatPr baseColWidth="8" defaultRowHeight="15"/>
  <cols>
    <col width="32" customWidth="1" min="1" max="1"/>
    <col width="16" customWidth="1" min="2" max="2"/>
    <col width="10" customWidth="1" min="3" max="3"/>
    <col width="35" customWidth="1" min="4" max="4"/>
    <col width="5" customWidth="1" min="5" max="5"/>
  </cols>
  <sheetData>
    <row r="1" ht="28" customHeight="1">
      <c r="A1" s="26" t="inlineStr">
        <is>
          <t>出口戦略｜売却残債シミュレーション</t>
        </is>
      </c>
    </row>
    <row r="2" ht="16" customHeight="1">
      <c r="A2" s="7" t="inlineStr">
        <is>
          <t>※ 売却価格を入力すると、ローン残高・売却後損益・累積CFが自動計算されます。</t>
        </is>
      </c>
    </row>
    <row r="3"/>
    <row r="4" ht="20" customHeight="1">
      <c r="A4" s="3" t="inlineStr">
        <is>
          <t>■ 売却条件入力（黄色セルに入力）</t>
        </is>
      </c>
    </row>
    <row r="5" ht="18" customHeight="1">
      <c r="A5" s="4" t="inlineStr">
        <is>
          <t>想定売却価格（5年後）</t>
        </is>
      </c>
      <c r="B5" s="8" t="n"/>
      <c r="C5" s="6" t="inlineStr">
        <is>
          <t>万円</t>
        </is>
      </c>
    </row>
    <row r="6" ht="18" customHeight="1">
      <c r="A6" s="4" t="inlineStr">
        <is>
          <t>想定売却価格（10年後）</t>
        </is>
      </c>
      <c r="B6" s="8" t="n"/>
      <c r="C6" s="6" t="inlineStr">
        <is>
          <t>万円</t>
        </is>
      </c>
    </row>
    <row r="7" ht="18" customHeight="1">
      <c r="A7" s="4" t="inlineStr">
        <is>
          <t>売却諸費用率</t>
        </is>
      </c>
      <c r="B7" s="9" t="n">
        <v>0.03</v>
      </c>
      <c r="D7" s="7" t="inlineStr">
        <is>
          <t>※仲介手数料等。デフォルト3%</t>
        </is>
      </c>
    </row>
    <row r="8"/>
    <row r="9" ht="20" customHeight="1">
      <c r="A9" s="35" t="inlineStr">
        <is>
          <t>■ ローン残高・損益計算（自動）</t>
        </is>
      </c>
    </row>
    <row r="10" ht="18" customHeight="1">
      <c r="A10" s="4" t="inlineStr">
        <is>
          <t>借入金額（参照）</t>
        </is>
      </c>
      <c r="B10" s="10">
        <f>'【入力】物件情報'!B22</f>
        <v/>
      </c>
      <c r="C10" s="6" t="inlineStr">
        <is>
          <t>万円</t>
        </is>
      </c>
    </row>
    <row r="11" ht="18" customHeight="1">
      <c r="A11" s="4" t="inlineStr">
        <is>
          <t>借入金利（参照）</t>
        </is>
      </c>
      <c r="B11" s="33">
        <f>'【入力】物件情報'!B23</f>
        <v/>
      </c>
      <c r="C11" s="6" t="inlineStr"/>
    </row>
    <row r="12" ht="18" customHeight="1">
      <c r="A12" s="4" t="inlineStr">
        <is>
          <t>借入期間（参照）</t>
        </is>
      </c>
      <c r="B12" s="10">
        <f>'【入力】物件情報'!B24</f>
        <v/>
      </c>
      <c r="C12" s="6" t="inlineStr">
        <is>
          <t>年</t>
        </is>
      </c>
    </row>
    <row r="13" ht="18" customHeight="1">
      <c r="A13" s="4" t="inlineStr">
        <is>
          <t>月々返済額（参照）</t>
        </is>
      </c>
      <c r="B13" s="10">
        <f>'【入力】物件情報'!B36</f>
        <v/>
      </c>
      <c r="C13" s="6" t="inlineStr">
        <is>
          <t>万円/月</t>
        </is>
      </c>
    </row>
    <row r="14" ht="18" customHeight="1">
      <c r="A14" s="4" t="inlineStr">
        <is>
          <t>5年後ローン残高</t>
        </is>
      </c>
      <c r="B14" s="10">
        <f>IF(OR('【入力】物件情報'!B22=0,'【入力】物件情報'!B23=0,'【入力】物件情報'!B24=0),"",ROUND('【入力】物件情報'!B22*(1+'【入力】物件情報'!B23/12)^60-(-PMT('【入力】物件情報'!B23/12,'【入力】物件情報'!B24*12,'【入力】物件情報'!B22))*((1+'【入力】物件情報'!B23/12)^60-1)/('【入力】物件情報'!B23/12),1))</f>
        <v/>
      </c>
      <c r="C14" s="6" t="inlineStr">
        <is>
          <t>万円</t>
        </is>
      </c>
      <c r="D14" s="12" t="inlineStr">
        <is>
          <t>60ヶ月後残高</t>
        </is>
      </c>
    </row>
    <row r="15" ht="18" customHeight="1">
      <c r="A15" s="4" t="inlineStr">
        <is>
          <t>10年後ローン残高</t>
        </is>
      </c>
      <c r="B15" s="10">
        <f>IF(OR('【入力】物件情報'!B22=0,'【入力】物件情報'!B23=0,'【入力】物件情報'!B24=0),"",ROUND('【入力】物件情報'!B22*(1+'【入力】物件情報'!B23/12)^120-(-PMT('【入力】物件情報'!B23/12,'【入力】物件情報'!B24*12,'【入力】物件情報'!B22))*((1+'【入力】物件情報'!B23/12)^120-1)/('【入力】物件情報'!B23/12),1))</f>
        <v/>
      </c>
      <c r="C15" s="6" t="inlineStr">
        <is>
          <t>万円</t>
        </is>
      </c>
      <c r="D15" s="12" t="inlineStr">
        <is>
          <t>120ヶ月後残高</t>
        </is>
      </c>
    </row>
    <row r="16" ht="18" customHeight="1">
      <c r="A16" s="4" t="inlineStr">
        <is>
          <t>5年後売却諸費用</t>
        </is>
      </c>
      <c r="B16" s="10">
        <f>IF(B5=0,"",ROUND(B5*B7,1))</f>
        <v/>
      </c>
      <c r="C16" s="6" t="inlineStr">
        <is>
          <t>万円</t>
        </is>
      </c>
      <c r="D16" s="12" t="inlineStr">
        <is>
          <t>売却価格×売却費用率</t>
        </is>
      </c>
    </row>
    <row r="17" ht="18" customHeight="1">
      <c r="A17" s="4" t="inlineStr">
        <is>
          <t>10年後売却諸費用</t>
        </is>
      </c>
      <c r="B17" s="10">
        <f>IF(B6=0,"",ROUND(B6*B7,1))</f>
        <v/>
      </c>
      <c r="C17" s="6" t="inlineStr">
        <is>
          <t>万円</t>
        </is>
      </c>
      <c r="D17" s="12" t="inlineStr">
        <is>
          <t>売却価格×売却費用率</t>
        </is>
      </c>
    </row>
    <row r="18" ht="18" customHeight="1">
      <c r="A18" s="4" t="inlineStr">
        <is>
          <t>5年後売却後損益</t>
        </is>
      </c>
      <c r="B18" s="10">
        <f>IF(OR(B5=0,B14="",B16=""),"",ROUND(B5-B14-B16,1))</f>
        <v/>
      </c>
      <c r="C18" s="6" t="inlineStr">
        <is>
          <t>万円</t>
        </is>
      </c>
      <c r="D18" s="12" t="inlineStr">
        <is>
          <t>売却価格 − ローン残高 − 売却費用</t>
        </is>
      </c>
    </row>
    <row r="19" ht="18" customHeight="1">
      <c r="A19" s="4" t="inlineStr">
        <is>
          <t>10年後売却後損益</t>
        </is>
      </c>
      <c r="B19" s="10">
        <f>IF(OR(B6=0,B15="",B17=""),"",ROUND(B6-B15-B17,1))</f>
        <v/>
      </c>
      <c r="C19" s="6" t="inlineStr">
        <is>
          <t>万円</t>
        </is>
      </c>
      <c r="D19" s="12" t="inlineStr">
        <is>
          <t>売却価格 − ローン残高 − 売却費用</t>
        </is>
      </c>
    </row>
    <row r="20" ht="18" customHeight="1">
      <c r="A20" s="4" t="inlineStr">
        <is>
          <t>5年累積CF（参考）</t>
        </is>
      </c>
      <c r="B20" s="10">
        <f>IF('【入力】物件情報'!B38="","",ROUND('【入力】物件情報'!B38*12*5,1))</f>
        <v/>
      </c>
      <c r="C20" s="6" t="inlineStr">
        <is>
          <t>万円</t>
        </is>
      </c>
      <c r="D20" s="12" t="inlineStr">
        <is>
          <t>月次CF×12×5年（簡易）</t>
        </is>
      </c>
    </row>
    <row r="21" ht="18" customHeight="1">
      <c r="A21" s="4" t="inlineStr">
        <is>
          <t>10年累積CF（参考）</t>
        </is>
      </c>
      <c r="B21" s="10">
        <f>IF('【入力】物件情報'!B38="","",ROUND('【入力】物件情報'!B38*12*10,1))</f>
        <v/>
      </c>
      <c r="C21" s="6" t="inlineStr">
        <is>
          <t>万円</t>
        </is>
      </c>
      <c r="D21" s="12" t="inlineStr">
        <is>
          <t>月次CF×12×10年（簡易）</t>
        </is>
      </c>
    </row>
    <row r="22" ht="18" customHeight="1">
      <c r="A22" s="4" t="inlineStr">
        <is>
          <t>5年総収益（CF＋売却損益）</t>
        </is>
      </c>
      <c r="B22" s="10">
        <f>IF(OR(B18="",B20=""),"",B18+B20)</f>
        <v/>
      </c>
      <c r="C22" s="6" t="inlineStr">
        <is>
          <t>万円</t>
        </is>
      </c>
    </row>
    <row r="23" ht="18" customHeight="1">
      <c r="A23" s="4" t="inlineStr">
        <is>
          <t>10年総収益（CF＋売却損益）</t>
        </is>
      </c>
      <c r="B23" s="10">
        <f>IF(OR(B19="",B21=""),"",B19+B21)</f>
        <v/>
      </c>
      <c r="C23" s="6" t="inlineStr">
        <is>
          <t>万円</t>
        </is>
      </c>
    </row>
    <row r="24"/>
    <row r="25" ht="20" customHeight="1">
      <c r="A25" s="3" t="inlineStr">
        <is>
          <t>■ 売却判定</t>
        </is>
      </c>
    </row>
    <row r="26" ht="20" customHeight="1">
      <c r="A26" s="4" t="inlineStr">
        <is>
          <t>5年後売却判定</t>
        </is>
      </c>
      <c r="B26" s="36">
        <f>IF(B18="","未入力",IF(B18&gt;=0,"✅ 売却時プラス（残債なし）","⚠️ オーバーローンリスク（売却後も借金残）"))</f>
        <v/>
      </c>
    </row>
    <row r="27" ht="20" customHeight="1">
      <c r="A27" s="4" t="inlineStr">
        <is>
          <t>10年後売却判定</t>
        </is>
      </c>
      <c r="B27" s="36">
        <f>IF(B19="","未入力",IF(B19&gt;=0,"✅ 売却時プラス（残債なし）","⚠️ オーバーローンリスク（売却後も借金残）"))</f>
        <v/>
      </c>
    </row>
    <row r="28" ht="20" customHeight="1">
      <c r="A28" s="4" t="inlineStr">
        <is>
          <t>5年総収益判定</t>
        </is>
      </c>
      <c r="B28" s="36">
        <f>IF(B22="","未入力",IF(B22&gt;=0,"✅ トータル収益プラス","🔴 トータル損失（再検討推奨）"))</f>
        <v/>
      </c>
    </row>
    <row r="29" ht="20" customHeight="1">
      <c r="A29" s="4" t="inlineStr">
        <is>
          <t>10年総収益判定</t>
        </is>
      </c>
      <c r="B29" s="36">
        <f>IF(B23="","未入力",IF(B23&gt;=0,"✅ トータル収益プラス","🔴 トータル損失（再検討推奨）"))</f>
        <v/>
      </c>
    </row>
  </sheetData>
  <mergeCells count="9">
    <mergeCell ref="B28:D28"/>
    <mergeCell ref="A4:E4"/>
    <mergeCell ref="A2:E2"/>
    <mergeCell ref="A25:E25"/>
    <mergeCell ref="B26:D26"/>
    <mergeCell ref="B27:D27"/>
    <mergeCell ref="A1:E1"/>
    <mergeCell ref="B29:D29"/>
    <mergeCell ref="A9:E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2026-04-25T05:03:29Z</dcterms:created>
  <dcterms:modified xmlns:dcterms="http://purl.org/dc/terms/" xmlns:xsi="http://www.w3.org/2001/XMLSchema-instance" xsi:type="dcterms:W3CDTF">2026-06-20T14:53:35Z</dcterms:modified>
</cp:coreProperties>
</file>